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0" yWindow="50" windowWidth="18570" windowHeight="6800"/>
  </bookViews>
  <sheets>
    <sheet name="Lead Pastor" sheetId="1" r:id="rId1"/>
    <sheet name="Assoc. Pastor" sheetId="2" r:id="rId2"/>
  </sheets>
  <externalReferences>
    <externalReference r:id="rId3"/>
  </externalReferences>
  <definedNames>
    <definedName name="Bud_Yr">'[1]Top Sheet'!$C$2</definedName>
    <definedName name="dddd" localSheetId="1">#REF!</definedName>
    <definedName name="dddd">#REF!</definedName>
  </definedNames>
  <calcPr calcId="124519"/>
</workbook>
</file>

<file path=xl/calcChain.xml><?xml version="1.0" encoding="utf-8"?>
<calcChain xmlns="http://schemas.openxmlformats.org/spreadsheetml/2006/main">
  <c r="C53" i="2"/>
  <c r="B52" i="1" l="1"/>
  <c r="C61" i="2"/>
  <c r="C38"/>
  <c r="C21" s="1"/>
  <c r="C34"/>
  <c r="C39" s="1"/>
  <c r="C44" s="1"/>
  <c r="C14"/>
  <c r="C12" s="1"/>
  <c r="B63" i="1"/>
  <c r="B64" s="1"/>
  <c r="B37"/>
  <c r="B16" s="1"/>
  <c r="B31"/>
  <c r="B33" s="1"/>
  <c r="B38" l="1"/>
  <c r="B43" s="1"/>
  <c r="C19" i="2"/>
  <c r="C23" s="1"/>
  <c r="B8" i="1"/>
  <c r="B13" s="1"/>
  <c r="B19" l="1"/>
  <c r="C28" i="2"/>
  <c r="C30" s="1"/>
  <c r="C54" l="1"/>
  <c r="C55" s="1"/>
  <c r="C48"/>
  <c r="C42"/>
  <c r="C43" s="1"/>
  <c r="C45" s="1"/>
  <c r="C46" s="1"/>
  <c r="B24" i="1"/>
  <c r="B26" s="1"/>
  <c r="C63" i="2" l="1"/>
  <c r="B47" i="1"/>
  <c r="B53"/>
  <c r="B56" s="1"/>
  <c r="B57" s="1"/>
  <c r="B41"/>
  <c r="B42" s="1"/>
  <c r="B44" s="1"/>
  <c r="B45" s="1"/>
  <c r="B66" l="1"/>
</calcChain>
</file>

<file path=xl/comments1.xml><?xml version="1.0" encoding="utf-8"?>
<comments xmlns="http://schemas.openxmlformats.org/spreadsheetml/2006/main">
  <authors>
    <author>Dawn Jacobson</author>
  </authors>
  <commentList>
    <comment ref="B55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Don't Include (Comp Package assumed all was income nothing to Pension)</t>
        </r>
      </text>
    </comment>
  </commentList>
</comments>
</file>

<file path=xl/sharedStrings.xml><?xml version="1.0" encoding="utf-8"?>
<sst xmlns="http://schemas.openxmlformats.org/spreadsheetml/2006/main" count="101" uniqueCount="58">
  <si>
    <t>2021 Budget</t>
  </si>
  <si>
    <t>Salary</t>
  </si>
  <si>
    <t>Housing</t>
  </si>
  <si>
    <t>Total</t>
  </si>
  <si>
    <t>% of Year</t>
  </si>
  <si>
    <t>Annual Increase %</t>
  </si>
  <si>
    <t>Total Salary and Housing</t>
  </si>
  <si>
    <t>Portion of Medical/Vision/Dental Elected to go into Salary (includes gross up starting in 2020)</t>
  </si>
  <si>
    <t xml:space="preserve">FICA Allowance %:   6.2% for Social </t>
  </si>
  <si>
    <t xml:space="preserve">    Security and 1.45% for Medicare</t>
  </si>
  <si>
    <t>FICA Tax</t>
  </si>
  <si>
    <t>Total Defined Comp.</t>
  </si>
  <si>
    <t>Health Premium Allowance:</t>
  </si>
  <si>
    <t>Health/Dental/Vision Difference</t>
  </si>
  <si>
    <t>Additional Out of pocket differences</t>
  </si>
  <si>
    <t xml:space="preserve">    Sub-total</t>
  </si>
  <si>
    <t>Gross up</t>
  </si>
  <si>
    <t>Health Premium Allowance</t>
  </si>
  <si>
    <t>Portion going into Salary (before Gross Up)</t>
  </si>
  <si>
    <r>
      <t xml:space="preserve">To Salary </t>
    </r>
    <r>
      <rPr>
        <sz val="11"/>
        <color theme="1"/>
        <rFont val="Calibri"/>
        <family val="2"/>
        <scheme val="minor"/>
      </rPr>
      <t>(includes Gross up for taxes)</t>
    </r>
  </si>
  <si>
    <t>To Pension</t>
  </si>
  <si>
    <t>Pension %</t>
  </si>
  <si>
    <t>Defined Comp.</t>
  </si>
  <si>
    <t>Pension</t>
  </si>
  <si>
    <t>Health Premium Allow added to Pension</t>
  </si>
  <si>
    <t>Sub Total</t>
  </si>
  <si>
    <t xml:space="preserve">    Total Pension as % of Defined Comp.</t>
  </si>
  <si>
    <t xml:space="preserve">    % rounded to nearest 1/2% per Portico</t>
  </si>
  <si>
    <t>Total Pension</t>
  </si>
  <si>
    <t>Other Insurance:</t>
  </si>
  <si>
    <t>Disability</t>
  </si>
  <si>
    <t>Group Life</t>
  </si>
  <si>
    <t>Total Other Insurance %</t>
  </si>
  <si>
    <t>Health Care Premium Allow. (Portion expected to be included in Salary if not included in Defined Comp.)</t>
  </si>
  <si>
    <t>Health Premium Allow (Pension Portion only) @7.65%</t>
  </si>
  <si>
    <t>SubTotal</t>
  </si>
  <si>
    <t>Total Other Insurance</t>
  </si>
  <si>
    <t>Business Expenses</t>
  </si>
  <si>
    <t>Travel Allow</t>
  </si>
  <si>
    <t>Continuing Ed</t>
  </si>
  <si>
    <t>Cell Phone $40/Month</t>
  </si>
  <si>
    <t>Total Business Expenses</t>
  </si>
  <si>
    <t>Grand Total - Pastor</t>
  </si>
  <si>
    <t>Associate Pastor</t>
  </si>
  <si>
    <t>For Comparison:</t>
  </si>
  <si>
    <t>Dori's Salary</t>
  </si>
  <si>
    <t>Intern John's Salary</t>
  </si>
  <si>
    <t>FICA</t>
  </si>
  <si>
    <t>Intern John's Expenses</t>
  </si>
  <si>
    <t>Dori's Expenses - Cell Phone</t>
  </si>
  <si>
    <t>DEFINED COMP.</t>
  </si>
  <si>
    <t>Portion of Medical/Vision/Dental Elected to go into Salary (includes gross up)</t>
  </si>
  <si>
    <t xml:space="preserve">FICA  %: </t>
  </si>
  <si>
    <t>Other Insurance</t>
  </si>
  <si>
    <t>Continuing Ed &amp; Fall Theological</t>
  </si>
  <si>
    <t>Grand Total - Assoc. Pastor</t>
  </si>
  <si>
    <t>Difference</t>
  </si>
  <si>
    <t>LEAD PASTOR</t>
  </si>
</sst>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horizontal="left" vertical="center"/>
    </xf>
    <xf numFmtId="5" fontId="4" fillId="0" borderId="0" xfId="1" applyNumberFormat="1" applyFont="1" applyFill="1" applyBorder="1" applyAlignment="1">
      <alignment horizontal="right" vertical="center"/>
    </xf>
    <xf numFmtId="5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5" fontId="3" fillId="0" borderId="6" xfId="0" applyNumberFormat="1" applyFont="1" applyFill="1" applyBorder="1" applyAlignment="1">
      <alignment vertical="center"/>
    </xf>
    <xf numFmtId="5" fontId="0" fillId="0" borderId="5" xfId="0" applyNumberFormat="1" applyFill="1" applyBorder="1" applyAlignment="1">
      <alignment horizontal="right" vertical="center"/>
    </xf>
    <xf numFmtId="5" fontId="0" fillId="0" borderId="0" xfId="0" applyNumberFormat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0" fontId="3" fillId="0" borderId="5" xfId="2" applyNumberFormat="1" applyFont="1" applyFill="1" applyBorder="1" applyAlignment="1">
      <alignment vertical="center"/>
    </xf>
    <xf numFmtId="164" fontId="3" fillId="0" borderId="5" xfId="0" applyNumberFormat="1" applyFont="1" applyFill="1" applyBorder="1" applyAlignment="1">
      <alignment vertical="center"/>
    </xf>
    <xf numFmtId="9" fontId="3" fillId="0" borderId="5" xfId="0" applyNumberFormat="1" applyFont="1" applyFill="1" applyBorder="1" applyAlignment="1">
      <alignment vertical="center"/>
    </xf>
    <xf numFmtId="164" fontId="4" fillId="0" borderId="5" xfId="2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5" fontId="2" fillId="0" borderId="5" xfId="0" applyNumberFormat="1" applyFont="1" applyFill="1" applyBorder="1" applyAlignment="1">
      <alignment horizontal="right" vertical="center"/>
    </xf>
    <xf numFmtId="5" fontId="4" fillId="0" borderId="5" xfId="1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 wrapText="1"/>
    </xf>
    <xf numFmtId="10" fontId="3" fillId="0" borderId="5" xfId="2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5" fontId="2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vertical="center"/>
    </xf>
    <xf numFmtId="5" fontId="3" fillId="0" borderId="5" xfId="1" applyNumberFormat="1" applyFont="1" applyFill="1" applyBorder="1" applyAlignment="1">
      <alignment horizontal="right" vertical="center"/>
    </xf>
    <xf numFmtId="5" fontId="3" fillId="0" borderId="0" xfId="1" applyNumberFormat="1" applyFont="1" applyFill="1" applyBorder="1" applyAlignment="1">
      <alignment horizontal="right" vertical="center"/>
    </xf>
    <xf numFmtId="10" fontId="3" fillId="0" borderId="5" xfId="2" applyNumberFormat="1" applyFont="1" applyFill="1" applyBorder="1" applyAlignment="1">
      <alignment horizontal="right" vertical="center"/>
    </xf>
    <xf numFmtId="5" fontId="7" fillId="0" borderId="0" xfId="1" applyNumberFormat="1" applyFont="1" applyFill="1" applyBorder="1" applyAlignment="1">
      <alignment horizontal="right" vertical="center"/>
    </xf>
    <xf numFmtId="5" fontId="7" fillId="0" borderId="5" xfId="1" applyNumberFormat="1" applyFont="1" applyFill="1" applyBorder="1" applyAlignment="1">
      <alignment horizontal="right" vertical="center"/>
    </xf>
    <xf numFmtId="9" fontId="3" fillId="0" borderId="3" xfId="0" applyNumberFormat="1" applyFont="1" applyFill="1" applyBorder="1" applyAlignment="1">
      <alignment vertical="center"/>
    </xf>
    <xf numFmtId="5" fontId="6" fillId="0" borderId="0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5" fontId="0" fillId="0" borderId="5" xfId="0" applyNumberFormat="1" applyFont="1" applyFill="1" applyBorder="1" applyAlignment="1">
      <alignment vertical="center"/>
    </xf>
    <xf numFmtId="164" fontId="0" fillId="0" borderId="5" xfId="2" applyNumberFormat="1" applyFont="1" applyFill="1" applyBorder="1" applyAlignment="1">
      <alignment vertical="center"/>
    </xf>
    <xf numFmtId="164" fontId="3" fillId="0" borderId="5" xfId="2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5" fontId="3" fillId="0" borderId="5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5" fontId="7" fillId="0" borderId="1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5" fontId="2" fillId="2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" fontId="2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5" fontId="4" fillId="0" borderId="5" xfId="0" applyNumberFormat="1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/>
    </xf>
    <xf numFmtId="5" fontId="3" fillId="0" borderId="10" xfId="0" applyNumberFormat="1" applyFont="1" applyFill="1" applyBorder="1" applyAlignment="1">
      <alignment vertical="center"/>
    </xf>
    <xf numFmtId="5" fontId="7" fillId="0" borderId="5" xfId="0" applyNumberFormat="1" applyFont="1" applyFill="1" applyBorder="1" applyAlignment="1">
      <alignment horizontal="right" vertical="center"/>
    </xf>
    <xf numFmtId="10" fontId="3" fillId="0" borderId="0" xfId="2" applyNumberFormat="1" applyFont="1" applyFill="1" applyBorder="1" applyAlignment="1">
      <alignment horizontal="right" vertical="center"/>
    </xf>
    <xf numFmtId="5" fontId="5" fillId="0" borderId="3" xfId="1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vertical="center"/>
    </xf>
    <xf numFmtId="164" fontId="0" fillId="0" borderId="9" xfId="2" applyNumberFormat="1" applyFont="1" applyFill="1" applyBorder="1" applyAlignment="1">
      <alignment vertical="center"/>
    </xf>
    <xf numFmtId="5" fontId="2" fillId="0" borderId="10" xfId="0" applyNumberFormat="1" applyFont="1" applyBorder="1" applyAlignment="1">
      <alignment vertical="center"/>
    </xf>
    <xf numFmtId="5" fontId="3" fillId="0" borderId="3" xfId="0" applyNumberFormat="1" applyFont="1" applyFill="1" applyBorder="1" applyAlignment="1">
      <alignment vertical="center"/>
    </xf>
    <xf numFmtId="5" fontId="7" fillId="0" borderId="10" xfId="0" applyNumberFormat="1" applyFont="1" applyBorder="1" applyAlignment="1">
      <alignment vertical="center"/>
    </xf>
    <xf numFmtId="7" fontId="0" fillId="0" borderId="0" xfId="0" applyNumberForma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0" borderId="5" xfId="0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CC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Final%20Budget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p Sheet"/>
      <sheetName val="Dec Council Meeting"/>
      <sheetName val="Summary New Year"/>
      <sheetName val="Annual Report"/>
      <sheetName val="New Year-Full Year"/>
      <sheetName val="Analysis of Rates"/>
      <sheetName val="Options"/>
      <sheetName val="Benevolence"/>
      <sheetName val="Pastor"/>
      <sheetName val="Comparison"/>
      <sheetName val="Assoc. Pastor"/>
      <sheetName val="Band and Other Music"/>
      <sheetName val="Rates for Cheryl"/>
      <sheetName val="Chart1"/>
      <sheetName val="Expenses"/>
    </sheetNames>
    <sheetDataSet>
      <sheetData sheetId="0">
        <row r="2">
          <cell r="C2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showGridLines="0" tabSelected="1" workbookViewId="0">
      <selection sqref="A1:D1"/>
    </sheetView>
  </sheetViews>
  <sheetFormatPr defaultRowHeight="14.5"/>
  <cols>
    <col min="1" max="1" width="36.36328125" style="1" customWidth="1"/>
    <col min="2" max="2" width="13.90625" style="1" customWidth="1"/>
    <col min="3" max="16384" width="8.7265625" style="1"/>
  </cols>
  <sheetData>
    <row r="1" spans="1:4" ht="21">
      <c r="A1" s="74" t="s">
        <v>57</v>
      </c>
      <c r="B1" s="74"/>
      <c r="C1" s="74"/>
      <c r="D1" s="74"/>
    </row>
    <row r="3" spans="1:4">
      <c r="B3" s="2" t="s">
        <v>0</v>
      </c>
    </row>
    <row r="4" spans="1:4">
      <c r="A4" s="3"/>
      <c r="B4" s="4"/>
    </row>
    <row r="5" spans="1:4">
      <c r="A5" s="5" t="s">
        <v>1</v>
      </c>
      <c r="B5" s="42">
        <v>51938.04</v>
      </c>
    </row>
    <row r="6" spans="1:4">
      <c r="A6" s="5"/>
      <c r="B6" s="72"/>
    </row>
    <row r="7" spans="1:4" ht="15" thickBot="1">
      <c r="A7" s="5" t="s">
        <v>2</v>
      </c>
      <c r="B7" s="9">
        <v>22572</v>
      </c>
    </row>
    <row r="8" spans="1:4" ht="14.5" customHeight="1">
      <c r="A8" s="5" t="s">
        <v>3</v>
      </c>
      <c r="B8" s="10">
        <f>+B5+B7</f>
        <v>74510.040000000008</v>
      </c>
      <c r="C8" s="11"/>
      <c r="D8" s="11"/>
    </row>
    <row r="9" spans="1:4">
      <c r="A9" s="12"/>
      <c r="B9" s="8"/>
    </row>
    <row r="10" spans="1:4">
      <c r="A10" s="5" t="s">
        <v>4</v>
      </c>
      <c r="B10" s="14">
        <v>1</v>
      </c>
    </row>
    <row r="11" spans="1:4">
      <c r="A11" s="12"/>
      <c r="B11" s="8"/>
    </row>
    <row r="12" spans="1:4">
      <c r="A12" s="5" t="s">
        <v>5</v>
      </c>
      <c r="B12" s="39">
        <v>4.1515236231478791E-2</v>
      </c>
    </row>
    <row r="13" spans="1:4">
      <c r="A13" s="18" t="s">
        <v>6</v>
      </c>
      <c r="B13" s="20">
        <f>ROUND(+B8*B10,0)</f>
        <v>74510</v>
      </c>
    </row>
    <row r="14" spans="1:4">
      <c r="A14" s="12"/>
      <c r="B14" s="8"/>
    </row>
    <row r="15" spans="1:4">
      <c r="A15" s="73" t="s">
        <v>7</v>
      </c>
      <c r="B15" s="8"/>
    </row>
    <row r="16" spans="1:4">
      <c r="A16" s="73"/>
      <c r="B16" s="21">
        <f>+B37</f>
        <v>0</v>
      </c>
    </row>
    <row r="17" spans="1:2">
      <c r="A17" s="73"/>
      <c r="B17" s="8"/>
    </row>
    <row r="18" spans="1:2">
      <c r="A18" s="22"/>
      <c r="B18" s="8"/>
    </row>
    <row r="19" spans="1:2">
      <c r="A19" s="18" t="s">
        <v>6</v>
      </c>
      <c r="B19" s="20">
        <f>+B13+B16</f>
        <v>74510</v>
      </c>
    </row>
    <row r="20" spans="1:2">
      <c r="A20" s="12"/>
      <c r="B20" s="8"/>
    </row>
    <row r="21" spans="1:2">
      <c r="A21" s="12" t="s">
        <v>8</v>
      </c>
      <c r="B21" s="23">
        <v>7.6499999999999999E-2</v>
      </c>
    </row>
    <row r="22" spans="1:2">
      <c r="A22" s="12" t="s">
        <v>9</v>
      </c>
      <c r="B22" s="8"/>
    </row>
    <row r="23" spans="1:2">
      <c r="A23" s="12"/>
      <c r="B23" s="8"/>
    </row>
    <row r="24" spans="1:2">
      <c r="A24" s="12" t="s">
        <v>10</v>
      </c>
      <c r="B24" s="21">
        <f>ROUND(+B19*B21,0)</f>
        <v>5700</v>
      </c>
    </row>
    <row r="25" spans="1:2">
      <c r="A25" s="12"/>
      <c r="B25" s="8"/>
    </row>
    <row r="26" spans="1:2">
      <c r="A26" s="24" t="s">
        <v>11</v>
      </c>
      <c r="B26" s="26">
        <f t="shared" ref="B26" si="0">+B19+B24</f>
        <v>80210</v>
      </c>
    </row>
    <row r="27" spans="1:2">
      <c r="A27" s="27"/>
      <c r="B27" s="27"/>
    </row>
    <row r="28" spans="1:2">
      <c r="A28" s="28" t="s">
        <v>12</v>
      </c>
      <c r="B28" s="4"/>
    </row>
    <row r="29" spans="1:2">
      <c r="A29" s="12" t="s">
        <v>13</v>
      </c>
      <c r="B29" s="29">
        <v>5121</v>
      </c>
    </row>
    <row r="30" spans="1:2">
      <c r="A30" s="12" t="s">
        <v>14</v>
      </c>
      <c r="B30" s="29">
        <v>2600</v>
      </c>
    </row>
    <row r="31" spans="1:2" ht="14.5" customHeight="1">
      <c r="A31" s="12" t="s">
        <v>15</v>
      </c>
      <c r="B31" s="21">
        <f>+B29+B30</f>
        <v>7721</v>
      </c>
    </row>
    <row r="32" spans="1:2">
      <c r="A32" s="12" t="s">
        <v>16</v>
      </c>
      <c r="B32" s="31"/>
    </row>
    <row r="33" spans="1:2">
      <c r="A33" s="19" t="s">
        <v>17</v>
      </c>
      <c r="B33" s="33">
        <f>+B31</f>
        <v>7721</v>
      </c>
    </row>
    <row r="34" spans="1:2">
      <c r="A34" s="12"/>
      <c r="B34" s="8"/>
    </row>
    <row r="35" spans="1:2">
      <c r="A35" s="12" t="s">
        <v>18</v>
      </c>
      <c r="B35" s="29">
        <v>0</v>
      </c>
    </row>
    <row r="36" spans="1:2">
      <c r="A36" s="12" t="s">
        <v>16</v>
      </c>
      <c r="B36" s="31">
        <v>0.25</v>
      </c>
    </row>
    <row r="37" spans="1:2">
      <c r="A37" s="19" t="s">
        <v>19</v>
      </c>
      <c r="B37" s="33">
        <f>ROUND(+B35/(1-B36),0)</f>
        <v>0</v>
      </c>
    </row>
    <row r="38" spans="1:2">
      <c r="A38" s="24" t="s">
        <v>20</v>
      </c>
      <c r="B38" s="26">
        <f>+B31-B35</f>
        <v>7721</v>
      </c>
    </row>
    <row r="39" spans="1:2">
      <c r="A39" s="27"/>
      <c r="B39" s="27"/>
    </row>
    <row r="40" spans="1:2">
      <c r="A40" s="28" t="s">
        <v>21</v>
      </c>
      <c r="B40" s="34">
        <v>0.11</v>
      </c>
    </row>
    <row r="41" spans="1:2">
      <c r="A41" s="12" t="s">
        <v>22</v>
      </c>
      <c r="B41" s="7">
        <f>+B26</f>
        <v>80210</v>
      </c>
    </row>
    <row r="42" spans="1:2">
      <c r="A42" s="12" t="s">
        <v>23</v>
      </c>
      <c r="B42" s="7">
        <f>ROUND(+B41*B40,0)</f>
        <v>8823</v>
      </c>
    </row>
    <row r="43" spans="1:2">
      <c r="A43" s="12" t="s">
        <v>24</v>
      </c>
      <c r="B43" s="7">
        <f>+B38</f>
        <v>7721</v>
      </c>
    </row>
    <row r="44" spans="1:2">
      <c r="A44" s="36" t="s">
        <v>25</v>
      </c>
      <c r="B44" s="37">
        <f t="shared" ref="B44" si="1">+B42+B43</f>
        <v>16544</v>
      </c>
    </row>
    <row r="45" spans="1:2">
      <c r="A45" s="12" t="s">
        <v>26</v>
      </c>
      <c r="B45" s="38">
        <f>+B44/B41</f>
        <v>0.20625857125046751</v>
      </c>
    </row>
    <row r="46" spans="1:2">
      <c r="A46" s="12" t="s">
        <v>27</v>
      </c>
      <c r="B46" s="39">
        <v>0.20499999999999999</v>
      </c>
    </row>
    <row r="47" spans="1:2">
      <c r="A47" s="24" t="s">
        <v>28</v>
      </c>
      <c r="B47" s="26">
        <f>ROUND(+B26*B46,0)</f>
        <v>16443</v>
      </c>
    </row>
    <row r="48" spans="1:2">
      <c r="A48" s="27"/>
      <c r="B48" s="27"/>
    </row>
    <row r="49" spans="1:2">
      <c r="A49" s="28" t="s">
        <v>29</v>
      </c>
      <c r="B49" s="4"/>
    </row>
    <row r="50" spans="1:2">
      <c r="A50" s="12" t="s">
        <v>30</v>
      </c>
      <c r="B50" s="15">
        <v>1.4999999999999999E-2</v>
      </c>
    </row>
    <row r="51" spans="1:2">
      <c r="A51" s="12" t="s">
        <v>31</v>
      </c>
      <c r="B51" s="15">
        <v>7.0000000000000001E-3</v>
      </c>
    </row>
    <row r="52" spans="1:2">
      <c r="A52" s="12" t="s">
        <v>32</v>
      </c>
      <c r="B52" s="40">
        <f>+B50+B51</f>
        <v>2.1999999999999999E-2</v>
      </c>
    </row>
    <row r="53" spans="1:2">
      <c r="A53" s="12" t="s">
        <v>22</v>
      </c>
      <c r="B53" s="7">
        <f t="shared" ref="B53" si="2">+B26</f>
        <v>80210</v>
      </c>
    </row>
    <row r="54" spans="1:2" ht="43.5" hidden="1">
      <c r="A54" s="41" t="s">
        <v>33</v>
      </c>
      <c r="B54" s="42">
        <v>0</v>
      </c>
    </row>
    <row r="55" spans="1:2" ht="29" hidden="1">
      <c r="A55" s="41" t="s">
        <v>34</v>
      </c>
      <c r="B55" s="7"/>
    </row>
    <row r="56" spans="1:2" hidden="1">
      <c r="A56" s="43" t="s">
        <v>35</v>
      </c>
      <c r="B56" s="7">
        <f t="shared" ref="B56" si="3">SUM(B53:B55)</f>
        <v>80210</v>
      </c>
    </row>
    <row r="57" spans="1:2">
      <c r="A57" s="44" t="s">
        <v>36</v>
      </c>
      <c r="B57" s="26">
        <f>ROUND(+B56*B52,0)</f>
        <v>1765</v>
      </c>
    </row>
    <row r="58" spans="1:2">
      <c r="B58" s="27"/>
    </row>
    <row r="59" spans="1:2">
      <c r="A59" s="45" t="s">
        <v>37</v>
      </c>
      <c r="B59" s="47"/>
    </row>
    <row r="60" spans="1:2">
      <c r="A60" s="43" t="s">
        <v>38</v>
      </c>
      <c r="B60" s="42">
        <v>1500</v>
      </c>
    </row>
    <row r="61" spans="1:2">
      <c r="A61" s="43" t="s">
        <v>39</v>
      </c>
      <c r="B61" s="42">
        <v>1000</v>
      </c>
    </row>
    <row r="62" spans="1:2">
      <c r="A62" s="43" t="s">
        <v>37</v>
      </c>
      <c r="B62" s="42">
        <v>600</v>
      </c>
    </row>
    <row r="63" spans="1:2">
      <c r="A63" s="12" t="s">
        <v>40</v>
      </c>
      <c r="B63" s="42">
        <f>ROUND(40*12,0)</f>
        <v>480</v>
      </c>
    </row>
    <row r="64" spans="1:2">
      <c r="A64" s="48" t="s">
        <v>41</v>
      </c>
      <c r="B64" s="49">
        <f t="shared" ref="B64" si="4">+SUM(B60:B63)</f>
        <v>3580</v>
      </c>
    </row>
    <row r="65" spans="1:2">
      <c r="B65" s="27"/>
    </row>
    <row r="66" spans="1:2">
      <c r="A66" s="50" t="s">
        <v>42</v>
      </c>
      <c r="B66" s="51">
        <f>+B26+B44+B57+B64</f>
        <v>102099</v>
      </c>
    </row>
  </sheetData>
  <mergeCells count="2">
    <mergeCell ref="A15:A17"/>
    <mergeCell ref="A1:D1"/>
  </mergeCells>
  <pageMargins left="0.7" right="0.7" top="0.75" bottom="0.25" header="0.3" footer="0.3"/>
  <pageSetup orientation="portrait" horizontalDpi="0" verticalDpi="0" r:id="rId1"/>
  <headerFooter>
    <oddHeader>&amp;CPASTOR KAREN
2020 Budget</oddHeader>
    <oddFooter>&amp;R&amp;D</oddFooter>
  </headerFooter>
  <rowBreaks count="1" manualBreakCount="1">
    <brk id="4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6"/>
  <sheetViews>
    <sheetView showGridLines="0" workbookViewId="0">
      <selection sqref="A1:D1"/>
    </sheetView>
  </sheetViews>
  <sheetFormatPr defaultRowHeight="14.5"/>
  <cols>
    <col min="1" max="1" width="10" style="1" customWidth="1"/>
    <col min="2" max="2" width="36.1796875" style="1" customWidth="1"/>
    <col min="3" max="3" width="13.90625" style="1" customWidth="1"/>
    <col min="4" max="4" width="10.453125" style="1" bestFit="1" customWidth="1"/>
    <col min="5" max="16384" width="8.7265625" style="1"/>
  </cols>
  <sheetData>
    <row r="1" spans="1:14" ht="21">
      <c r="A1" s="74" t="s">
        <v>43</v>
      </c>
      <c r="B1" s="74"/>
      <c r="C1" s="74"/>
      <c r="D1" s="74"/>
      <c r="E1" s="56"/>
      <c r="F1" s="56"/>
    </row>
    <row r="2" spans="1:14" ht="21" hidden="1" customHeight="1">
      <c r="B2" s="55"/>
      <c r="C2" s="56"/>
      <c r="D2" s="56"/>
      <c r="E2" s="56"/>
      <c r="F2" s="56"/>
    </row>
    <row r="3" spans="1:14" hidden="1">
      <c r="B3" s="28" t="s">
        <v>44</v>
      </c>
      <c r="C3" s="13"/>
    </row>
    <row r="4" spans="1:14" hidden="1">
      <c r="B4" s="12" t="s">
        <v>45</v>
      </c>
      <c r="C4" s="13"/>
    </row>
    <row r="5" spans="1:14" hidden="1">
      <c r="B5" s="12" t="s">
        <v>46</v>
      </c>
      <c r="C5" s="13"/>
    </row>
    <row r="6" spans="1:14" hidden="1">
      <c r="B6" s="12" t="s">
        <v>47</v>
      </c>
      <c r="C6" s="13"/>
    </row>
    <row r="7" spans="1:14" hidden="1">
      <c r="B7" s="12" t="s">
        <v>48</v>
      </c>
      <c r="C7" s="13"/>
    </row>
    <row r="8" spans="1:14" hidden="1">
      <c r="B8" s="12" t="s">
        <v>49</v>
      </c>
      <c r="C8" s="13"/>
    </row>
    <row r="9" spans="1:14" ht="15" hidden="1" customHeight="1">
      <c r="B9" s="12" t="s">
        <v>3</v>
      </c>
      <c r="C9" s="13"/>
    </row>
    <row r="10" spans="1:14" ht="10" customHeight="1">
      <c r="B10" s="13"/>
      <c r="C10" s="58"/>
    </row>
    <row r="11" spans="1:14">
      <c r="C11" s="59" t="s">
        <v>0</v>
      </c>
      <c r="D11" s="78"/>
    </row>
    <row r="12" spans="1:14" ht="14.5" customHeight="1">
      <c r="A12" s="75" t="s">
        <v>50</v>
      </c>
      <c r="B12" s="60" t="s">
        <v>1</v>
      </c>
      <c r="C12" s="7">
        <f>+C14-C13</f>
        <v>42687</v>
      </c>
      <c r="D12" s="78"/>
    </row>
    <row r="13" spans="1:14">
      <c r="A13" s="76"/>
      <c r="B13" s="5" t="s">
        <v>2</v>
      </c>
      <c r="C13" s="61">
        <v>20000</v>
      </c>
      <c r="D13" s="78"/>
    </row>
    <row r="14" spans="1:14" ht="14.5" customHeight="1">
      <c r="A14" s="76"/>
      <c r="B14" s="5" t="s">
        <v>3</v>
      </c>
      <c r="C14" s="10">
        <f>+ROUND((62066*1.01),0)</f>
        <v>62687</v>
      </c>
      <c r="D14" s="78"/>
    </row>
    <row r="15" spans="1:14" ht="5.5" customHeight="1">
      <c r="A15" s="76"/>
      <c r="B15" s="12"/>
      <c r="C15" s="8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>
      <c r="A16" s="76"/>
      <c r="B16" s="5" t="s">
        <v>4</v>
      </c>
      <c r="C16" s="14">
        <v>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5" hidden="1" customHeight="1">
      <c r="A17" s="76"/>
      <c r="B17" s="12"/>
      <c r="C17" s="8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>
      <c r="A18" s="76"/>
      <c r="B18" s="5" t="s">
        <v>5</v>
      </c>
      <c r="C18" s="16"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>
      <c r="A19" s="76"/>
      <c r="B19" s="18" t="s">
        <v>6</v>
      </c>
      <c r="C19" s="62">
        <f>ROUND(+C14*(1+C18)*C16,0)</f>
        <v>62687</v>
      </c>
      <c r="E19" s="13"/>
      <c r="F19" s="13"/>
      <c r="G19" s="13"/>
      <c r="H19" s="13"/>
      <c r="I19" s="30"/>
      <c r="J19" s="35"/>
      <c r="K19" s="13"/>
      <c r="L19" s="13"/>
      <c r="M19" s="13"/>
      <c r="N19" s="13"/>
    </row>
    <row r="20" spans="1:14" ht="10" customHeight="1">
      <c r="A20" s="76"/>
      <c r="B20" s="79" t="s">
        <v>51</v>
      </c>
      <c r="C20" s="8"/>
      <c r="E20" s="13"/>
      <c r="F20" s="13"/>
      <c r="G20" s="13"/>
      <c r="H20" s="13"/>
      <c r="I20" s="30"/>
      <c r="J20" s="13"/>
      <c r="K20" s="13"/>
      <c r="L20" s="13"/>
      <c r="M20" s="13"/>
      <c r="N20" s="13"/>
    </row>
    <row r="21" spans="1:14">
      <c r="A21" s="76"/>
      <c r="B21" s="79"/>
      <c r="C21" s="21">
        <f>+C38</f>
        <v>2400</v>
      </c>
      <c r="E21" s="13"/>
      <c r="F21" s="13"/>
      <c r="G21" s="13"/>
      <c r="H21" s="13"/>
      <c r="I21" s="6"/>
      <c r="J21" s="13"/>
      <c r="K21" s="13"/>
      <c r="L21" s="13"/>
      <c r="M21" s="13"/>
      <c r="N21" s="13"/>
    </row>
    <row r="22" spans="1:14" ht="8.5" customHeight="1">
      <c r="A22" s="76"/>
      <c r="B22" s="79"/>
      <c r="C22" s="8"/>
      <c r="E22" s="52"/>
      <c r="F22" s="52"/>
      <c r="G22" s="13"/>
      <c r="H22" s="13"/>
      <c r="I22" s="63"/>
      <c r="J22" s="13"/>
      <c r="K22" s="13"/>
      <c r="L22" s="13"/>
      <c r="M22" s="13"/>
      <c r="N22" s="13"/>
    </row>
    <row r="23" spans="1:14">
      <c r="A23" s="76"/>
      <c r="B23" s="18" t="s">
        <v>6</v>
      </c>
      <c r="C23" s="62">
        <f>+C19+C21</f>
        <v>65087</v>
      </c>
      <c r="E23" s="13"/>
      <c r="F23" s="13"/>
      <c r="G23" s="13"/>
      <c r="H23" s="13"/>
      <c r="I23" s="32"/>
      <c r="J23" s="13"/>
      <c r="K23" s="13"/>
      <c r="L23" s="13"/>
      <c r="M23" s="13"/>
      <c r="N23" s="13"/>
    </row>
    <row r="24" spans="1:14" ht="6.5" customHeight="1">
      <c r="A24" s="76"/>
      <c r="B24" s="12"/>
      <c r="C24" s="8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>
      <c r="A25" s="76"/>
      <c r="B25" s="12" t="s">
        <v>52</v>
      </c>
      <c r="C25" s="23">
        <v>7.6499999999999999E-2</v>
      </c>
      <c r="E25" s="13"/>
      <c r="F25" s="13"/>
      <c r="G25" s="13"/>
      <c r="H25" s="13"/>
      <c r="I25" s="30"/>
      <c r="J25" s="13"/>
      <c r="K25" s="13"/>
      <c r="L25" s="13"/>
      <c r="M25" s="13"/>
      <c r="N25" s="13"/>
    </row>
    <row r="26" spans="1:14" ht="3.5" customHeight="1">
      <c r="A26" s="76"/>
      <c r="B26" s="12"/>
      <c r="C26" s="8"/>
      <c r="E26" s="52"/>
      <c r="F26" s="52"/>
      <c r="G26" s="13"/>
      <c r="H26" s="13"/>
      <c r="I26" s="63"/>
      <c r="J26" s="13"/>
      <c r="K26" s="13"/>
      <c r="L26" s="13"/>
      <c r="M26" s="13"/>
      <c r="N26" s="13"/>
    </row>
    <row r="27" spans="1:14" ht="14.5" hidden="1" customHeight="1">
      <c r="A27" s="76"/>
      <c r="B27" s="12"/>
      <c r="C27" s="8"/>
      <c r="E27" s="52"/>
      <c r="F27" s="52"/>
      <c r="G27" s="53"/>
      <c r="H27" s="13"/>
      <c r="I27" s="32"/>
      <c r="J27" s="13"/>
      <c r="K27" s="13"/>
      <c r="L27" s="13"/>
      <c r="M27" s="13"/>
      <c r="N27" s="13"/>
    </row>
    <row r="28" spans="1:14">
      <c r="A28" s="76"/>
      <c r="B28" s="12" t="s">
        <v>10</v>
      </c>
      <c r="C28" s="21">
        <f>ROUND(+C23*C25,0)</f>
        <v>4979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4.5" hidden="1" customHeight="1">
      <c r="A29" s="76"/>
      <c r="B29" s="12"/>
      <c r="C29" s="8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>
      <c r="A30" s="77"/>
      <c r="B30" s="24" t="s">
        <v>11</v>
      </c>
      <c r="C30" s="26">
        <f t="shared" ref="C30" si="0">+C23+C28</f>
        <v>70066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8.5" customHeight="1">
      <c r="B31" s="27"/>
      <c r="C31" s="27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>
      <c r="A32" s="75" t="s">
        <v>17</v>
      </c>
      <c r="B32" s="3" t="s">
        <v>13</v>
      </c>
      <c r="C32" s="64">
        <v>6000</v>
      </c>
      <c r="E32" s="52"/>
      <c r="F32" s="13"/>
      <c r="G32" s="13"/>
      <c r="H32" s="13"/>
      <c r="I32" s="13"/>
      <c r="J32" s="13"/>
      <c r="K32" s="13"/>
      <c r="L32" s="13"/>
      <c r="M32" s="13"/>
      <c r="N32" s="13"/>
    </row>
    <row r="33" spans="1:14">
      <c r="A33" s="76"/>
      <c r="B33" s="12" t="s">
        <v>14</v>
      </c>
      <c r="C33" s="29">
        <v>0</v>
      </c>
      <c r="E33" s="52"/>
      <c r="F33" s="13"/>
      <c r="G33" s="13"/>
      <c r="H33" s="13"/>
      <c r="I33" s="13"/>
      <c r="J33" s="13"/>
      <c r="K33" s="13"/>
      <c r="L33" s="13"/>
      <c r="M33" s="13"/>
      <c r="N33" s="13"/>
    </row>
    <row r="34" spans="1:14">
      <c r="A34" s="76"/>
      <c r="B34" s="19" t="s">
        <v>17</v>
      </c>
      <c r="C34" s="33">
        <f>+C32+C33</f>
        <v>6000</v>
      </c>
      <c r="E34" s="52"/>
      <c r="F34" s="13"/>
      <c r="G34" s="13"/>
      <c r="H34" s="13"/>
      <c r="I34" s="13"/>
      <c r="J34" s="13"/>
      <c r="K34" s="13"/>
      <c r="L34" s="13"/>
      <c r="M34" s="13"/>
      <c r="N34" s="13"/>
    </row>
    <row r="35" spans="1:14" ht="6.5" customHeight="1">
      <c r="A35" s="76"/>
      <c r="B35" s="12"/>
      <c r="C35" s="8"/>
      <c r="E35" s="52"/>
      <c r="F35" s="13"/>
      <c r="G35" s="13"/>
      <c r="H35" s="13"/>
      <c r="I35" s="13"/>
      <c r="J35" s="13"/>
      <c r="K35" s="13"/>
      <c r="L35" s="13"/>
      <c r="M35" s="13"/>
      <c r="N35" s="13"/>
    </row>
    <row r="36" spans="1:14">
      <c r="A36" s="76"/>
      <c r="B36" s="12" t="s">
        <v>18</v>
      </c>
      <c r="C36" s="29">
        <v>1800</v>
      </c>
      <c r="E36" s="52"/>
      <c r="F36" s="13"/>
      <c r="G36" s="13"/>
      <c r="H36" s="13"/>
      <c r="I36" s="13"/>
      <c r="J36" s="13"/>
      <c r="K36" s="13"/>
      <c r="L36" s="13"/>
      <c r="M36" s="13"/>
      <c r="N36" s="13"/>
    </row>
    <row r="37" spans="1:14">
      <c r="A37" s="76"/>
      <c r="B37" s="12" t="s">
        <v>16</v>
      </c>
      <c r="C37" s="31">
        <v>0.25</v>
      </c>
      <c r="E37" s="52"/>
      <c r="F37" s="13"/>
      <c r="G37" s="13"/>
      <c r="H37" s="13"/>
      <c r="I37" s="13"/>
      <c r="J37" s="13"/>
      <c r="K37" s="13"/>
      <c r="L37" s="13"/>
      <c r="M37" s="13"/>
      <c r="N37" s="13"/>
    </row>
    <row r="38" spans="1:14">
      <c r="A38" s="76"/>
      <c r="B38" s="19" t="s">
        <v>19</v>
      </c>
      <c r="C38" s="33">
        <f>ROUND(+C36/(1-C37),0)</f>
        <v>2400</v>
      </c>
      <c r="E38" s="52"/>
      <c r="F38" s="13"/>
      <c r="G38" s="13"/>
      <c r="H38" s="13"/>
      <c r="I38" s="13"/>
      <c r="J38" s="13"/>
      <c r="K38" s="13"/>
      <c r="L38" s="13"/>
      <c r="M38" s="13"/>
      <c r="N38" s="13"/>
    </row>
    <row r="39" spans="1:14">
      <c r="A39" s="77"/>
      <c r="B39" s="24" t="s">
        <v>20</v>
      </c>
      <c r="C39" s="26">
        <f>+C34-C36</f>
        <v>4200</v>
      </c>
      <c r="E39" s="52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7" customHeight="1">
      <c r="B40" s="27"/>
      <c r="C40" s="27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>
      <c r="A41" s="75" t="s">
        <v>23</v>
      </c>
      <c r="B41" s="28" t="s">
        <v>21</v>
      </c>
      <c r="C41" s="34">
        <v>0.1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>
      <c r="A42" s="76"/>
      <c r="B42" s="12" t="s">
        <v>22</v>
      </c>
      <c r="C42" s="57">
        <f>+C30</f>
        <v>70066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>
      <c r="A43" s="76"/>
      <c r="B43" s="12" t="s">
        <v>23</v>
      </c>
      <c r="C43" s="57">
        <f>ROUND(+C42*C41,0)</f>
        <v>7007</v>
      </c>
    </row>
    <row r="44" spans="1:14">
      <c r="A44" s="76"/>
      <c r="B44" s="12" t="s">
        <v>24</v>
      </c>
      <c r="C44" s="57">
        <f>+C39</f>
        <v>4200</v>
      </c>
    </row>
    <row r="45" spans="1:14">
      <c r="A45" s="76"/>
      <c r="B45" s="12" t="s">
        <v>25</v>
      </c>
      <c r="C45" s="57">
        <f>+C44+C43</f>
        <v>11207</v>
      </c>
    </row>
    <row r="46" spans="1:14">
      <c r="A46" s="76"/>
      <c r="B46" s="12" t="s">
        <v>26</v>
      </c>
      <c r="C46" s="17">
        <f>+C45/C30</f>
        <v>0.15994919076299488</v>
      </c>
    </row>
    <row r="47" spans="1:14">
      <c r="A47" s="76"/>
      <c r="B47" s="12" t="s">
        <v>27</v>
      </c>
      <c r="C47" s="39">
        <v>0.16</v>
      </c>
    </row>
    <row r="48" spans="1:14">
      <c r="A48" s="77"/>
      <c r="B48" s="24" t="s">
        <v>28</v>
      </c>
      <c r="C48" s="49">
        <f>ROUND(+C47*C30,0)</f>
        <v>11211</v>
      </c>
    </row>
    <row r="49" spans="1:4" hidden="1">
      <c r="B49" s="25" t="s">
        <v>26</v>
      </c>
      <c r="C49" s="66"/>
    </row>
    <row r="50" spans="1:4" ht="7" customHeight="1">
      <c r="B50" s="27"/>
      <c r="C50" s="27"/>
    </row>
    <row r="51" spans="1:4">
      <c r="A51" s="75" t="s">
        <v>53</v>
      </c>
      <c r="B51" s="3" t="s">
        <v>30</v>
      </c>
      <c r="C51" s="65">
        <v>1.4999999999999999E-2</v>
      </c>
    </row>
    <row r="52" spans="1:4">
      <c r="A52" s="76"/>
      <c r="B52" s="12" t="s">
        <v>31</v>
      </c>
      <c r="C52" s="15">
        <v>7.0000000000000001E-3</v>
      </c>
    </row>
    <row r="53" spans="1:4">
      <c r="A53" s="76"/>
      <c r="B53" s="12" t="s">
        <v>32</v>
      </c>
      <c r="C53" s="40">
        <f>+C51+C52</f>
        <v>2.1999999999999999E-2</v>
      </c>
    </row>
    <row r="54" spans="1:4">
      <c r="A54" s="76"/>
      <c r="B54" s="12" t="s">
        <v>22</v>
      </c>
      <c r="C54" s="7">
        <f>+C30</f>
        <v>70066</v>
      </c>
    </row>
    <row r="55" spans="1:4">
      <c r="A55" s="77"/>
      <c r="B55" s="44" t="s">
        <v>36</v>
      </c>
      <c r="C55" s="67">
        <f>ROUND(+C54*C53,0)</f>
        <v>1541</v>
      </c>
    </row>
    <row r="56" spans="1:4" ht="7.5" customHeight="1"/>
    <row r="57" spans="1:4">
      <c r="A57" s="75" t="s">
        <v>37</v>
      </c>
      <c r="B57" s="46" t="s">
        <v>38</v>
      </c>
      <c r="C57" s="68">
        <v>1200</v>
      </c>
    </row>
    <row r="58" spans="1:4">
      <c r="A58" s="76"/>
      <c r="B58" s="43" t="s">
        <v>54</v>
      </c>
      <c r="C58" s="42">
        <v>1300</v>
      </c>
    </row>
    <row r="59" spans="1:4">
      <c r="A59" s="76"/>
      <c r="B59" s="43" t="s">
        <v>37</v>
      </c>
      <c r="C59" s="42">
        <v>600</v>
      </c>
    </row>
    <row r="60" spans="1:4">
      <c r="A60" s="76"/>
      <c r="B60" s="12" t="s">
        <v>40</v>
      </c>
      <c r="C60" s="42">
        <v>480</v>
      </c>
    </row>
    <row r="61" spans="1:4">
      <c r="A61" s="77"/>
      <c r="B61" s="48" t="s">
        <v>41</v>
      </c>
      <c r="C61" s="69">
        <f>+SUM(C57:C60)</f>
        <v>3580</v>
      </c>
      <c r="D61" s="11"/>
    </row>
    <row r="62" spans="1:4" ht="8" customHeight="1"/>
    <row r="63" spans="1:4">
      <c r="B63" s="50" t="s">
        <v>55</v>
      </c>
      <c r="C63" s="51">
        <f>+C30+C48+C55+C61</f>
        <v>86398</v>
      </c>
      <c r="D63" s="70"/>
    </row>
    <row r="64" spans="1:4" ht="7.5" customHeight="1">
      <c r="B64" s="52"/>
      <c r="C64" s="53"/>
    </row>
    <row r="65" spans="2:3" hidden="1">
      <c r="B65" s="71" t="s">
        <v>56</v>
      </c>
      <c r="C65" s="54"/>
    </row>
    <row r="66" spans="2:3" hidden="1"/>
  </sheetData>
  <mergeCells count="8">
    <mergeCell ref="A41:A48"/>
    <mergeCell ref="A51:A55"/>
    <mergeCell ref="A57:A61"/>
    <mergeCell ref="A1:D1"/>
    <mergeCell ref="D11:D14"/>
    <mergeCell ref="A12:A30"/>
    <mergeCell ref="B20:B22"/>
    <mergeCell ref="A32:A39"/>
  </mergeCells>
  <pageMargins left="0.7" right="0.7" top="0.75" bottom="0.75" header="0.3" footer="0.3"/>
  <pageSetup orientation="portrait" horizontalDpi="0" verticalDpi="0" r:id="rId1"/>
  <headerFoot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Lead Pastor</vt:lpstr>
      <vt:lpstr>Assoc. Pastor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2021-02-02T18:09:55Z</dcterms:created>
  <dcterms:modified xsi:type="dcterms:W3CDTF">2021-02-02T18:37:46Z</dcterms:modified>
</cp:coreProperties>
</file>